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<sst xmlns="http://schemas.openxmlformats.org/spreadsheetml/2006/main" count="891" uniqueCount="178">
  <si>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</si>
  <si>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</si>
  <si>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</si>
  <si>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</si>
  <si>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</si>
  <si>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</si>
  <si>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</si>
  <si>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</si>
  <si>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</si>
  <si>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</si>
  <si>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</si>
  <si>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</si>
  <si>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</si>
  <si>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</si>
  <si>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</si>
  <si>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</si>
  <si>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</si>
  <si>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</si>
  <si>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</si>
  <si>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</si>
  <si>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</si>
  <si>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</si>
  <si>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</si>
  <si>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</si>
  <si>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</si>
  <si>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</si>
  <si>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</si>
  <si>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</si>
  <si>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</si>
  <si>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</si>
  <si>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</si>
  <si>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</si>
  <si>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</si>
  <si>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</si>
  <si>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</si>
  <si>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</si>
  <si>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</si>
  <si>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</si>
  <si>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</si>
  <si>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</si>
  <si>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</si>
  <si>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</si>
  <si>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</si>
  <si>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</si>
  <si>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</si>
  <si>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</si>
  <si>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</si>
  <si>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</si>
  <si>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</si>
  <si>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</si>
  <si>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</si>
  <si>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</si>
  <si>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</si>
  <si>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</si>
  <si>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</si>
  <si>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</si>
  <si>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</si>
  <si>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</si>
  <si>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</si>
  <si>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</si>
  <si>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</si>
  <si>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</si>
  <si>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</si>
  <si>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</si>
  <si>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</si>
  <si>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</si>
  <si>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</si>
  <si>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</si>
  <si>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</si>
  <si>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</si>
  <si>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</si>
  <si>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</si>
  <si>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</si>
  <si>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</si>
  <si>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</si>
  <si>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</si>
  <si>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</si>
  <si>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</si>
  <si>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</si>
  <si>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</si>
  <si>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</si>
  <si>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</si>
  <si>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</si>
  <si>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</si>
  <si>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</si>
  <si>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</si>
  <si>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</si>
  <si>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</si>
  <si>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</si>
  <si>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</si>
  <si>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</si>
  <si>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</si>
  <si>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</si>
  <si>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</si>
  <si>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</si>
  <si>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</si>
  <si>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</si>
  <si>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</si>
  <si>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</si>
  <si>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</si>
  <si>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</si>
  <si>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</si>
  <si>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</si>
  <si>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</si>
  <si>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</si>
  <si>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</si>
  <si>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</si>
  <si>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</si>
  <si>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</si>
  <si>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</si>
  <si>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</si>
  <si>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</si>
  <si>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</si>
  <si>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</si>
  <si>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</si>
  <si>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</si>
  <si>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</si>
  <si>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</si>
  <si>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</si>
  <si>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</si>
  <si>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</si>
  <si>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</si>
  <si>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</si>
  <si>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</si>
  <si>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</si>
  <si>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</si>
  <si>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</si>
  <si>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</si>
  <si>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</si>
  <si>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</si>
  <si>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</si>
  <si>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</si>
  <si>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</si>
  <si>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</si>
  <si>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</si>
  <si>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</si>
  <si>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</si>
  <si>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</si>
  <si>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</si>
  <si>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</si>
  <si>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</si>
  <si>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</si>
  <si>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</si>
  <si>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</si>
  <si>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</si>
  <si>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</si>
  <si>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</si>
  <si>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</si>
  <si>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</si>
  <si>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</si>
  <si>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</si>
  <si>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</si>
  <si>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</si>
  <si>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</si>
  <si>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</si>
  <si>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</si>
  <si>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</si>
  <si>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</si>
  <si>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</si>
  <si>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</si>
  <si>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</si>
  <si>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</si>
  <si>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</si>
  <si>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</si>
  <si>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</si>
  <si>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</si>
  <si>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</si>
  <si>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</si>
  <si>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</si>
  <si>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</si>
  <si>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</si>
  <si>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</si>
  <si>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</si>
  <si>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</si>
  <si>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</si>
  <si>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</si>
  <si>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09.06.2016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</si>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</sst>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176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172</v>
      </c>
      <c r="N3" s="279" t="s">
        <v>173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170</v>
      </c>
      <c r="F4" s="262" t="s">
        <v>34</v>
      </c>
      <c r="G4" s="256" t="s">
        <v>171</v>
      </c>
      <c r="H4" s="264" t="s">
        <v>175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177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63"/>
      <c r="G5" s="257"/>
      <c r="H5" s="265"/>
      <c r="I5" s="257"/>
      <c r="J5" s="265"/>
      <c r="K5" s="259" t="s">
        <v>174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390136.64999999997</v>
      </c>
      <c r="G8" s="191">
        <f aca="true" t="shared" si="0" ref="G8:G36">F8-E8</f>
        <v>-30099.130000000005</v>
      </c>
      <c r="H8" s="192">
        <f>F8/E8*100</f>
        <v>92.83756133283082</v>
      </c>
      <c r="I8" s="193">
        <f>F8-D8</f>
        <v>-450913.35000000003</v>
      </c>
      <c r="J8" s="193">
        <f>F8/D8*100</f>
        <v>46.3868557160692</v>
      </c>
      <c r="K8" s="191">
        <f>F8-305119.12</f>
        <v>85017.52999999997</v>
      </c>
      <c r="L8" s="191">
        <f>F8/305119.12*100</f>
        <v>127.86371761953166</v>
      </c>
      <c r="M8" s="191">
        <f>M9+M15+M18+M19+M20+M17</f>
        <v>67799.29999999999</v>
      </c>
      <c r="N8" s="191">
        <f>N9+N15+N18+N19+N20+N17</f>
        <v>15141.700000000012</v>
      </c>
      <c r="O8" s="191">
        <f>N8-M8</f>
        <v>-52657.59999999998</v>
      </c>
      <c r="P8" s="191">
        <f>N8/M8*100</f>
        <v>22.33312143340715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211958.92</v>
      </c>
      <c r="G9" s="190">
        <f t="shared" si="0"/>
        <v>-11945.349999999977</v>
      </c>
      <c r="H9" s="197">
        <f>F9/E9*100</f>
        <v>94.66497445537775</v>
      </c>
      <c r="I9" s="198">
        <f>F9-D9</f>
        <v>-247741.08</v>
      </c>
      <c r="J9" s="198">
        <f>F9/D9*100</f>
        <v>46.108096584729175</v>
      </c>
      <c r="K9" s="199">
        <f>F9-171379.72</f>
        <v>40579.20000000001</v>
      </c>
      <c r="L9" s="199">
        <f>F9/171379.72*100</f>
        <v>123.67794742575143</v>
      </c>
      <c r="M9" s="197">
        <f>E9-травень!E9</f>
        <v>41002</v>
      </c>
      <c r="N9" s="200">
        <f>F9-травень!F9</f>
        <v>12858</v>
      </c>
      <c r="O9" s="201">
        <f>N9-M9</f>
        <v>-28144</v>
      </c>
      <c r="P9" s="198">
        <f>N9/M9*100</f>
        <v>31.359445880688746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186559.98</v>
      </c>
      <c r="G10" s="109">
        <f t="shared" si="0"/>
        <v>-12735.859999999986</v>
      </c>
      <c r="H10" s="32">
        <f aca="true" t="shared" si="1" ref="H10:H35">F10/E10*100</f>
        <v>93.6095705760843</v>
      </c>
      <c r="I10" s="110">
        <f aca="true" t="shared" si="2" ref="I10:I36">F10-D10</f>
        <v>-224880.02</v>
      </c>
      <c r="J10" s="110">
        <f aca="true" t="shared" si="3" ref="J10:J35">F10/D10*100</f>
        <v>45.34318005055415</v>
      </c>
      <c r="K10" s="112">
        <f>F10-152226.9</f>
        <v>34333.080000000016</v>
      </c>
      <c r="L10" s="112">
        <f>F10/152226.9*100</f>
        <v>122.5538850229493</v>
      </c>
      <c r="M10" s="111">
        <f>E10-травень!E10</f>
        <v>37450</v>
      </c>
      <c r="N10" s="179">
        <f>F10-травень!F10</f>
        <v>12391.650000000023</v>
      </c>
      <c r="O10" s="112">
        <f aca="true" t="shared" si="4" ref="O10:O36">N10-M10</f>
        <v>-25058.349999999977</v>
      </c>
      <c r="P10" s="198">
        <f aca="true" t="shared" si="5" ref="P10:P16">N10/M10*100</f>
        <v>33.088518024032105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14680.42</v>
      </c>
      <c r="G11" s="109">
        <f t="shared" si="0"/>
        <v>515.4799999999996</v>
      </c>
      <c r="H11" s="32">
        <f t="shared" si="1"/>
        <v>103.63912589816829</v>
      </c>
      <c r="I11" s="110">
        <f t="shared" si="2"/>
        <v>-8319.58</v>
      </c>
      <c r="J11" s="110">
        <f t="shared" si="3"/>
        <v>63.827913043478254</v>
      </c>
      <c r="K11" s="112">
        <f>F11-9213.1</f>
        <v>5467.32</v>
      </c>
      <c r="L11" s="112">
        <f>F11/9213.1*100</f>
        <v>159.34289218612628</v>
      </c>
      <c r="M11" s="111">
        <f>E11-травень!E11</f>
        <v>1600</v>
      </c>
      <c r="N11" s="179">
        <f>F11-травень!F11</f>
        <v>1.1700000000000728</v>
      </c>
      <c r="O11" s="112">
        <f t="shared" si="4"/>
        <v>-1598.83</v>
      </c>
      <c r="P11" s="198">
        <f t="shared" si="5"/>
        <v>0.07312500000000455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4720.96</v>
      </c>
      <c r="G12" s="109">
        <f t="shared" si="0"/>
        <v>2000.35</v>
      </c>
      <c r="H12" s="32">
        <f t="shared" si="1"/>
        <v>173.52579017205701</v>
      </c>
      <c r="I12" s="110">
        <f t="shared" si="2"/>
        <v>-1779.04</v>
      </c>
      <c r="J12" s="110">
        <f t="shared" si="3"/>
        <v>72.63015384615385</v>
      </c>
      <c r="K12" s="112">
        <f>F12-2592.53</f>
        <v>2128.43</v>
      </c>
      <c r="L12" s="112">
        <f>F12/2592.53*100</f>
        <v>182.09856780827994</v>
      </c>
      <c r="M12" s="111">
        <f>E12-травень!E12</f>
        <v>500</v>
      </c>
      <c r="N12" s="179">
        <f>F12-травень!F12</f>
        <v>137.73000000000047</v>
      </c>
      <c r="O12" s="112">
        <f t="shared" si="4"/>
        <v>-362.2699999999995</v>
      </c>
      <c r="P12" s="198">
        <f t="shared" si="5"/>
        <v>27.54600000000009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3842.62</v>
      </c>
      <c r="G13" s="109">
        <f t="shared" si="0"/>
        <v>-742.2200000000003</v>
      </c>
      <c r="H13" s="32">
        <f t="shared" si="1"/>
        <v>83.81143071513945</v>
      </c>
      <c r="I13" s="110">
        <f t="shared" si="2"/>
        <v>-8557.380000000001</v>
      </c>
      <c r="J13" s="110">
        <f t="shared" si="3"/>
        <v>30.98887096774193</v>
      </c>
      <c r="K13" s="112">
        <f>F13-2783.41</f>
        <v>1059.21</v>
      </c>
      <c r="L13" s="112">
        <f>F13/2783.41*100</f>
        <v>138.05440089674178</v>
      </c>
      <c r="M13" s="111">
        <f>E13-травень!E13</f>
        <v>820</v>
      </c>
      <c r="N13" s="179">
        <f>F13-травень!F13</f>
        <v>79.17999999999984</v>
      </c>
      <c r="O13" s="112">
        <f t="shared" si="4"/>
        <v>-740.8200000000002</v>
      </c>
      <c r="P13" s="198">
        <f t="shared" si="5"/>
        <v>9.656097560975589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2154.93</v>
      </c>
      <c r="G14" s="109">
        <f t="shared" si="0"/>
        <v>-983.1100000000001</v>
      </c>
      <c r="H14" s="32">
        <f t="shared" si="1"/>
        <v>68.6712087800028</v>
      </c>
      <c r="I14" s="110">
        <f t="shared" si="2"/>
        <v>-4205.07</v>
      </c>
      <c r="J14" s="110">
        <f t="shared" si="3"/>
        <v>33.88254716981132</v>
      </c>
      <c r="K14" s="112">
        <f>F14-4563.77</f>
        <v>-2408.8400000000006</v>
      </c>
      <c r="L14" s="112">
        <f>F14/4563.77*100</f>
        <v>47.21819898899374</v>
      </c>
      <c r="M14" s="111">
        <f>E14-травень!E14</f>
        <v>632</v>
      </c>
      <c r="N14" s="179">
        <f>F14-травень!F14</f>
        <v>248.24999999999977</v>
      </c>
      <c r="O14" s="112">
        <f t="shared" si="4"/>
        <v>-383.7500000000002</v>
      </c>
      <c r="P14" s="198">
        <f t="shared" si="5"/>
        <v>39.28006329113921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35326.09</v>
      </c>
      <c r="G19" s="190">
        <f t="shared" si="0"/>
        <v>-12534.310000000005</v>
      </c>
      <c r="H19" s="197">
        <f t="shared" si="1"/>
        <v>73.81068691444283</v>
      </c>
      <c r="I19" s="198">
        <f t="shared" si="2"/>
        <v>-74573.91</v>
      </c>
      <c r="J19" s="198">
        <f t="shared" si="3"/>
        <v>32.14384895359417</v>
      </c>
      <c r="K19" s="209">
        <f>F19-30116.49</f>
        <v>5209.599999999995</v>
      </c>
      <c r="L19" s="209">
        <f>F19/30116.49*100</f>
        <v>117.2981645603455</v>
      </c>
      <c r="M19" s="197">
        <f>E19-травень!E19</f>
        <v>9800</v>
      </c>
      <c r="N19" s="200">
        <f>F19-травень!F19</f>
        <v>95.52999999999884</v>
      </c>
      <c r="O19" s="201">
        <f t="shared" si="4"/>
        <v>-9704.470000000001</v>
      </c>
      <c r="P19" s="198">
        <f aca="true" t="shared" si="6" ref="P19:P24">N19/M19*100</f>
        <v>0.9747959183673351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142436.43</v>
      </c>
      <c r="G20" s="190">
        <f t="shared" si="0"/>
        <v>-5784.679999999993</v>
      </c>
      <c r="H20" s="197">
        <f t="shared" si="1"/>
        <v>96.09726306866816</v>
      </c>
      <c r="I20" s="198">
        <f t="shared" si="2"/>
        <v>-128503.57</v>
      </c>
      <c r="J20" s="198">
        <f t="shared" si="3"/>
        <v>52.57120764744961</v>
      </c>
      <c r="K20" s="198">
        <f>F20-100444.36</f>
        <v>41992.06999999999</v>
      </c>
      <c r="L20" s="198">
        <f>F20/100444.36*100</f>
        <v>141.80629952741995</v>
      </c>
      <c r="M20" s="197">
        <f>M21+M29+M30+M31</f>
        <v>16992.299999999985</v>
      </c>
      <c r="N20" s="200">
        <f>F20-травень!F20</f>
        <v>2188.170000000013</v>
      </c>
      <c r="O20" s="201">
        <f t="shared" si="4"/>
        <v>-14804.129999999972</v>
      </c>
      <c r="P20" s="198">
        <f t="shared" si="6"/>
        <v>12.877420949488974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72574.55</v>
      </c>
      <c r="G21" s="190">
        <f t="shared" si="0"/>
        <v>-5568.809999999998</v>
      </c>
      <c r="H21" s="197">
        <f t="shared" si="1"/>
        <v>92.87359796149028</v>
      </c>
      <c r="I21" s="198">
        <f t="shared" si="2"/>
        <v>-88825.45</v>
      </c>
      <c r="J21" s="198">
        <f t="shared" si="3"/>
        <v>44.96564436183396</v>
      </c>
      <c r="K21" s="198">
        <f>F21-54757.32</f>
        <v>17817.230000000003</v>
      </c>
      <c r="L21" s="198">
        <f>F21/54757.32*100</f>
        <v>132.53853548712758</v>
      </c>
      <c r="M21" s="197">
        <f>M22+M25+M26</f>
        <v>13047.099999999999</v>
      </c>
      <c r="N21" s="200">
        <f>F21-травень!F21</f>
        <v>1034.4100000000035</v>
      </c>
      <c r="O21" s="201">
        <f t="shared" si="4"/>
        <v>-12012.689999999995</v>
      </c>
      <c r="P21" s="198">
        <f t="shared" si="6"/>
        <v>7.928275248905916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8676.84</v>
      </c>
      <c r="G22" s="212">
        <f t="shared" si="0"/>
        <v>65.23999999999978</v>
      </c>
      <c r="H22" s="214">
        <f t="shared" si="1"/>
        <v>100.75758279529936</v>
      </c>
      <c r="I22" s="215">
        <f t="shared" si="2"/>
        <v>-9823.16</v>
      </c>
      <c r="J22" s="215">
        <f t="shared" si="3"/>
        <v>46.90183783783784</v>
      </c>
      <c r="K22" s="216">
        <f>F22-4957.1</f>
        <v>3719.74</v>
      </c>
      <c r="L22" s="216">
        <f>F22/4957.1*100</f>
        <v>175.03863145790885</v>
      </c>
      <c r="M22" s="214">
        <f>E22-травень!E22</f>
        <v>240</v>
      </c>
      <c r="N22" s="217">
        <f>F22-травень!F22</f>
        <v>36.69000000000051</v>
      </c>
      <c r="O22" s="218">
        <f t="shared" si="4"/>
        <v>-203.3099999999995</v>
      </c>
      <c r="P22" s="215">
        <f t="shared" si="6"/>
        <v>15.287500000000213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263.65</v>
      </c>
      <c r="G23" s="241">
        <f t="shared" si="0"/>
        <v>-125.45000000000005</v>
      </c>
      <c r="H23" s="242">
        <f t="shared" si="1"/>
        <v>67.75893086610125</v>
      </c>
      <c r="I23" s="243">
        <f t="shared" si="2"/>
        <v>-1736.35</v>
      </c>
      <c r="J23" s="243">
        <f t="shared" si="3"/>
        <v>13.1825</v>
      </c>
      <c r="K23" s="244">
        <f>F23-284.18</f>
        <v>-20.53000000000003</v>
      </c>
      <c r="L23" s="244">
        <f>F23/284.18*100</f>
        <v>92.77570553874304</v>
      </c>
      <c r="M23" s="239">
        <f>E23-травень!E23</f>
        <v>40</v>
      </c>
      <c r="N23" s="239">
        <f>F23-травень!F23</f>
        <v>0</v>
      </c>
      <c r="O23" s="240">
        <f t="shared" si="4"/>
        <v>-40</v>
      </c>
      <c r="P23" s="240">
        <f t="shared" si="6"/>
        <v>0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8413.14</v>
      </c>
      <c r="G24" s="241">
        <f t="shared" si="0"/>
        <v>190.63999999999942</v>
      </c>
      <c r="H24" s="242">
        <f t="shared" si="1"/>
        <v>102.31851626634234</v>
      </c>
      <c r="I24" s="243">
        <f t="shared" si="2"/>
        <v>-8086.860000000001</v>
      </c>
      <c r="J24" s="243">
        <f t="shared" si="3"/>
        <v>50.988727272727274</v>
      </c>
      <c r="K24" s="244">
        <f>F24-4672.92</f>
        <v>3740.2199999999993</v>
      </c>
      <c r="L24" s="244">
        <f>F24/4672.92*100</f>
        <v>180.04031740325107</v>
      </c>
      <c r="M24" s="239">
        <f>E24-травень!E24</f>
        <v>200</v>
      </c>
      <c r="N24" s="239">
        <f>F24-травень!F24</f>
        <v>36.63999999999942</v>
      </c>
      <c r="O24" s="240">
        <f t="shared" si="4"/>
        <v>-163.36000000000058</v>
      </c>
      <c r="P24" s="240">
        <f t="shared" si="6"/>
        <v>18.31999999999971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426.33</v>
      </c>
      <c r="G25" s="212">
        <f t="shared" si="0"/>
        <v>149.49</v>
      </c>
      <c r="H25" s="214">
        <f t="shared" si="1"/>
        <v>153.99869960988298</v>
      </c>
      <c r="I25" s="215">
        <f t="shared" si="2"/>
        <v>-2373.67</v>
      </c>
      <c r="J25" s="215">
        <f t="shared" si="3"/>
        <v>15.226071428571428</v>
      </c>
      <c r="K25" s="215">
        <f>F25-210.68</f>
        <v>215.64999999999998</v>
      </c>
      <c r="L25" s="215">
        <f>F25/210.68*100</f>
        <v>202.35902790962595</v>
      </c>
      <c r="M25" s="214">
        <f>E25-травень!E25</f>
        <v>0</v>
      </c>
      <c r="N25" s="217">
        <f>F25-травень!F25</f>
        <v>6.25</v>
      </c>
      <c r="O25" s="218">
        <f t="shared" si="4"/>
        <v>6.25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63471.38</v>
      </c>
      <c r="G26" s="212">
        <f t="shared" si="0"/>
        <v>-5783.540000000001</v>
      </c>
      <c r="H26" s="214">
        <f t="shared" si="1"/>
        <v>91.64891100877742</v>
      </c>
      <c r="I26" s="215">
        <f t="shared" si="2"/>
        <v>-76628.62</v>
      </c>
      <c r="J26" s="215">
        <f t="shared" si="3"/>
        <v>45.3043397573162</v>
      </c>
      <c r="K26" s="216">
        <f>F26-49589.53</f>
        <v>13881.849999999999</v>
      </c>
      <c r="L26" s="216">
        <f>F26/49589.53*100</f>
        <v>127.99350992034005</v>
      </c>
      <c r="M26" s="214">
        <f>E26-травень!E26</f>
        <v>12807.099999999999</v>
      </c>
      <c r="N26" s="217">
        <f>F26-травень!F26</f>
        <v>991.4699999999939</v>
      </c>
      <c r="O26" s="218">
        <f t="shared" si="4"/>
        <v>-11815.630000000005</v>
      </c>
      <c r="P26" s="215">
        <f>N26/M26*100</f>
        <v>7.741565225538912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19538.64</v>
      </c>
      <c r="G27" s="241">
        <f t="shared" si="0"/>
        <v>108.88999999999942</v>
      </c>
      <c r="H27" s="242">
        <f t="shared" si="1"/>
        <v>100.56042923866751</v>
      </c>
      <c r="I27" s="243">
        <f t="shared" si="2"/>
        <v>-18518.36</v>
      </c>
      <c r="J27" s="243">
        <f t="shared" si="3"/>
        <v>51.340462989725935</v>
      </c>
      <c r="K27" s="244">
        <f>F27-12926</f>
        <v>6612.639999999999</v>
      </c>
      <c r="L27" s="244">
        <f>F27/12926*100</f>
        <v>151.1576667182423</v>
      </c>
      <c r="M27" s="239">
        <f>E27-12724.05</f>
        <v>6705.700000000001</v>
      </c>
      <c r="N27" s="239">
        <f>F27-15205.9</f>
        <v>4332.74</v>
      </c>
      <c r="O27" s="240">
        <f t="shared" si="4"/>
        <v>-2372.960000000001</v>
      </c>
      <c r="P27" s="240">
        <f>N27/M27*100</f>
        <v>64.61279210224137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43932.74</v>
      </c>
      <c r="G28" s="241">
        <f t="shared" si="0"/>
        <v>-5892.43</v>
      </c>
      <c r="H28" s="242">
        <f t="shared" si="1"/>
        <v>88.17378846875987</v>
      </c>
      <c r="I28" s="243">
        <f t="shared" si="2"/>
        <v>33889.74</v>
      </c>
      <c r="J28" s="243">
        <f t="shared" si="3"/>
        <v>437.44638056357655</v>
      </c>
      <c r="K28" s="244">
        <f>F28-36663.53</f>
        <v>7269.209999999999</v>
      </c>
      <c r="L28" s="244">
        <f>F28/36663.53*100</f>
        <v>119.82681427565758</v>
      </c>
      <c r="M28" s="239">
        <f>E28-32053.77</f>
        <v>17771.399999999998</v>
      </c>
      <c r="N28" s="239">
        <f>F28-34030.56</f>
        <v>9902.18</v>
      </c>
      <c r="O28" s="240">
        <f t="shared" si="4"/>
        <v>-7869.2199999999975</v>
      </c>
      <c r="P28" s="240">
        <f>N28/M28*100</f>
        <v>55.719751961016016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51.15</v>
      </c>
      <c r="G29" s="190">
        <f t="shared" si="0"/>
        <v>15.439999999999998</v>
      </c>
      <c r="H29" s="197">
        <f t="shared" si="1"/>
        <v>143.2371884626155</v>
      </c>
      <c r="I29" s="198">
        <f t="shared" si="2"/>
        <v>-25.85</v>
      </c>
      <c r="J29" s="198">
        <f t="shared" si="3"/>
        <v>66.42857142857143</v>
      </c>
      <c r="K29" s="198">
        <f>F29-37.42</f>
        <v>13.729999999999997</v>
      </c>
      <c r="L29" s="198">
        <f>F29/37.42*100</f>
        <v>136.6916087653661</v>
      </c>
      <c r="M29" s="197">
        <f>E29-травень!E29</f>
        <v>5.199999999999999</v>
      </c>
      <c r="N29" s="200">
        <f>F29-травень!F29</f>
        <v>0.00999999999999801</v>
      </c>
      <c r="O29" s="201">
        <f t="shared" si="4"/>
        <v>-5.190000000000001</v>
      </c>
      <c r="P29" s="198">
        <f>N29/M29*100</f>
        <v>0.19230769230765407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-115.56</v>
      </c>
      <c r="G30" s="190">
        <f t="shared" si="0"/>
        <v>-115.56</v>
      </c>
      <c r="H30" s="197"/>
      <c r="I30" s="198">
        <f t="shared" si="2"/>
        <v>-115.56</v>
      </c>
      <c r="J30" s="198"/>
      <c r="K30" s="198">
        <f>F30-(-403.36)</f>
        <v>287.8</v>
      </c>
      <c r="L30" s="198">
        <f>F30/(-403.36)*100</f>
        <v>28.649345497818324</v>
      </c>
      <c r="M30" s="197">
        <f>E30-травень!E30</f>
        <v>0</v>
      </c>
      <c r="N30" s="200">
        <f>F30-травень!F30</f>
        <v>-5.840000000000003</v>
      </c>
      <c r="O30" s="201">
        <f t="shared" si="4"/>
        <v>-5.840000000000003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69926.29</v>
      </c>
      <c r="G31" s="202">
        <f t="shared" si="0"/>
        <v>-115.75</v>
      </c>
      <c r="H31" s="204">
        <f t="shared" si="1"/>
        <v>99.83474210631215</v>
      </c>
      <c r="I31" s="205">
        <f t="shared" si="2"/>
        <v>-39536.71000000001</v>
      </c>
      <c r="J31" s="205">
        <f t="shared" si="3"/>
        <v>63.88121100280459</v>
      </c>
      <c r="K31" s="219">
        <f>F31-46052.97</f>
        <v>23873.319999999992</v>
      </c>
      <c r="L31" s="219">
        <f>F31/46052.97*100</f>
        <v>151.83882820152533</v>
      </c>
      <c r="M31" s="197">
        <f>E31-травень!E31</f>
        <v>3939.9999999999854</v>
      </c>
      <c r="N31" s="200">
        <f>F31-травень!F31</f>
        <v>1159.5899999999965</v>
      </c>
      <c r="O31" s="207">
        <f t="shared" si="4"/>
        <v>-2780.409999999989</v>
      </c>
      <c r="P31" s="205">
        <f>N31/M31*100</f>
        <v>29.431218274111696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17796.45</v>
      </c>
      <c r="G33" s="109">
        <f t="shared" si="0"/>
        <v>100.47999999999956</v>
      </c>
      <c r="H33" s="111">
        <f t="shared" si="1"/>
        <v>100.56781289751282</v>
      </c>
      <c r="I33" s="110">
        <f t="shared" si="2"/>
        <v>-9803.55</v>
      </c>
      <c r="J33" s="110">
        <f t="shared" si="3"/>
        <v>64.47989130434783</v>
      </c>
      <c r="K33" s="142">
        <f>F33-11423.16</f>
        <v>6373.290000000001</v>
      </c>
      <c r="L33" s="142">
        <f>F33/11423.16*100</f>
        <v>155.79270534598132</v>
      </c>
      <c r="M33" s="111">
        <f>E33-травень!E33</f>
        <v>940</v>
      </c>
      <c r="N33" s="179">
        <f>F33-травень!F33</f>
        <v>244.38999999999942</v>
      </c>
      <c r="O33" s="112">
        <f t="shared" si="4"/>
        <v>-695.6100000000006</v>
      </c>
      <c r="P33" s="110">
        <f>N33/M33*100</f>
        <v>25.998936170212705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52115.65</v>
      </c>
      <c r="G34" s="109">
        <f t="shared" si="0"/>
        <v>-220.4300000000003</v>
      </c>
      <c r="H34" s="111">
        <f t="shared" si="1"/>
        <v>99.57881828367734</v>
      </c>
      <c r="I34" s="110">
        <f t="shared" si="2"/>
        <v>-29696.35</v>
      </c>
      <c r="J34" s="110">
        <f t="shared" si="3"/>
        <v>63.70171857429228</v>
      </c>
      <c r="K34" s="142">
        <f>F34-34622.85</f>
        <v>17492.800000000003</v>
      </c>
      <c r="L34" s="142">
        <f>F34/34622.85*100</f>
        <v>150.52385924324545</v>
      </c>
      <c r="M34" s="111">
        <f>E34-травень!E34</f>
        <v>3000</v>
      </c>
      <c r="N34" s="179">
        <f>F34-травень!F34</f>
        <v>915.1900000000023</v>
      </c>
      <c r="O34" s="112">
        <f t="shared" si="4"/>
        <v>-2084.8099999999977</v>
      </c>
      <c r="P34" s="110">
        <f>N34/M34*100</f>
        <v>30.506333333333412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27897.659999999996</v>
      </c>
      <c r="G37" s="191">
        <f>G38+G39+G40+G41+G42+G44+G46+G47+G48+G49+G50+G55+G56+G60</f>
        <v>6392.830000000001</v>
      </c>
      <c r="H37" s="192">
        <f>F37/E37*100</f>
        <v>129.76844855086722</v>
      </c>
      <c r="I37" s="193">
        <f>F37-D37</f>
        <v>-14922.340000000004</v>
      </c>
      <c r="J37" s="193">
        <f>F37/D37*100</f>
        <v>65.15100420364315</v>
      </c>
      <c r="K37" s="191">
        <f>F37-15873</f>
        <v>12024.659999999996</v>
      </c>
      <c r="L37" s="191">
        <f>F37/15873*100</f>
        <v>175.75543375543373</v>
      </c>
      <c r="M37" s="191">
        <f>M38+M39+M40+M41+M42+M44+M46+M47+M48+M49+M50+M55+M56+M60</f>
        <v>3691.0000000000005</v>
      </c>
      <c r="N37" s="191">
        <f>N38+N39+N40+N41+N42+N44+N46+N47+N48+N49+N50+N55+N56+N60+N43</f>
        <v>5057.240000000001</v>
      </c>
      <c r="O37" s="191">
        <f>O38+O39+O40+O41+O42+O44+O46+O47+O48+O49+O50+O55+O56+O60</f>
        <v>1366.2399999999998</v>
      </c>
      <c r="P37" s="191">
        <f>N37/M37*100</f>
        <v>137.015442969385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53.73</v>
      </c>
      <c r="G42" s="202">
        <f t="shared" si="9"/>
        <v>-6.270000000000003</v>
      </c>
      <c r="H42" s="204">
        <f t="shared" si="7"/>
        <v>89.55</v>
      </c>
      <c r="I42" s="205">
        <f t="shared" si="10"/>
        <v>-96.27000000000001</v>
      </c>
      <c r="J42" s="205">
        <f t="shared" si="12"/>
        <v>35.81999999999999</v>
      </c>
      <c r="K42" s="205">
        <f>F42-81.62</f>
        <v>-27.890000000000008</v>
      </c>
      <c r="L42" s="205">
        <f>F42/81.62*100</f>
        <v>65.82945356530261</v>
      </c>
      <c r="M42" s="204">
        <f>E42-травень!E42</f>
        <v>10</v>
      </c>
      <c r="N42" s="208">
        <f>F42-травень!F42</f>
        <v>3.3299999999999983</v>
      </c>
      <c r="O42" s="207">
        <f t="shared" si="11"/>
        <v>-6.670000000000002</v>
      </c>
      <c r="P42" s="205">
        <f t="shared" si="8"/>
        <v>33.29999999999998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108.05</v>
      </c>
      <c r="G44" s="202">
        <f t="shared" si="9"/>
        <v>68.05</v>
      </c>
      <c r="H44" s="204">
        <f t="shared" si="7"/>
        <v>270.125</v>
      </c>
      <c r="I44" s="205">
        <f t="shared" si="10"/>
        <v>18.049999999999997</v>
      </c>
      <c r="J44" s="205">
        <f t="shared" si="12"/>
        <v>120.05555555555556</v>
      </c>
      <c r="K44" s="205">
        <f>F44-0</f>
        <v>108.05</v>
      </c>
      <c r="L44" s="205"/>
      <c r="M44" s="204">
        <f>E44-травень!E44</f>
        <v>8</v>
      </c>
      <c r="N44" s="208">
        <f>F44-травень!F44</f>
        <v>31.72</v>
      </c>
      <c r="O44" s="207">
        <f t="shared" si="11"/>
        <v>23.72</v>
      </c>
      <c r="P44" s="205">
        <f t="shared" si="8"/>
        <v>396.5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4347.41</v>
      </c>
      <c r="G46" s="202">
        <f t="shared" si="9"/>
        <v>-191.61000000000058</v>
      </c>
      <c r="H46" s="204">
        <f t="shared" si="7"/>
        <v>95.77860419209432</v>
      </c>
      <c r="I46" s="205">
        <f t="shared" si="10"/>
        <v>-5552.59</v>
      </c>
      <c r="J46" s="205">
        <f t="shared" si="12"/>
        <v>43.91323232323232</v>
      </c>
      <c r="K46" s="205">
        <f>F46-4927.6</f>
        <v>-580.1900000000005</v>
      </c>
      <c r="L46" s="205">
        <f>F46/4927.6*100</f>
        <v>88.22570825554021</v>
      </c>
      <c r="M46" s="204">
        <f>E46-травень!E46</f>
        <v>800.0000000000005</v>
      </c>
      <c r="N46" s="208">
        <f>F46-травень!F46</f>
        <v>290</v>
      </c>
      <c r="O46" s="207">
        <f t="shared" si="11"/>
        <v>-510.00000000000045</v>
      </c>
      <c r="P46" s="205">
        <f t="shared" si="8"/>
        <v>36.24999999999998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46.89</v>
      </c>
      <c r="G47" s="202">
        <f t="shared" si="9"/>
        <v>-603.11</v>
      </c>
      <c r="H47" s="204">
        <f t="shared" si="7"/>
        <v>7.213846153846154</v>
      </c>
      <c r="I47" s="205">
        <f t="shared" si="10"/>
        <v>-1453.11</v>
      </c>
      <c r="J47" s="205">
        <f t="shared" si="12"/>
        <v>3.1260000000000003</v>
      </c>
      <c r="K47" s="205">
        <f>F47-0</f>
        <v>46.89</v>
      </c>
      <c r="L47" s="205"/>
      <c r="M47" s="204">
        <f>E47-травень!E47</f>
        <v>130</v>
      </c>
      <c r="N47" s="208">
        <f>F47-травень!F47</f>
        <v>12.96</v>
      </c>
      <c r="O47" s="207">
        <f t="shared" si="11"/>
        <v>-117.03999999999999</v>
      </c>
      <c r="P47" s="205">
        <f t="shared" si="8"/>
        <v>9.969230769230771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7.72</v>
      </c>
      <c r="G48" s="202">
        <f t="shared" si="9"/>
        <v>-12.280000000000001</v>
      </c>
      <c r="H48" s="204">
        <f t="shared" si="7"/>
        <v>38.6</v>
      </c>
      <c r="I48" s="205">
        <f t="shared" si="10"/>
        <v>-42.28</v>
      </c>
      <c r="J48" s="205">
        <f t="shared" si="12"/>
        <v>15.439999999999998</v>
      </c>
      <c r="K48" s="205">
        <f>F48-0</f>
        <v>7.72</v>
      </c>
      <c r="L48" s="205"/>
      <c r="M48" s="204">
        <f>E48-травень!E48</f>
        <v>4</v>
      </c>
      <c r="N48" s="208">
        <f>F48-травень!F48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2738.98</v>
      </c>
      <c r="G50" s="202">
        <f t="shared" si="9"/>
        <v>-480.21000000000004</v>
      </c>
      <c r="H50" s="204">
        <f t="shared" si="7"/>
        <v>85.08289352290484</v>
      </c>
      <c r="I50" s="205">
        <f t="shared" si="10"/>
        <v>-4561.02</v>
      </c>
      <c r="J50" s="205">
        <f t="shared" si="12"/>
        <v>37.520273972602745</v>
      </c>
      <c r="K50" s="205">
        <f>F50-4033.24</f>
        <v>-1294.2599999999998</v>
      </c>
      <c r="L50" s="205">
        <f>F50/4033.24*100</f>
        <v>67.91016651624997</v>
      </c>
      <c r="M50" s="204">
        <f>E50-травень!E50</f>
        <v>666</v>
      </c>
      <c r="N50" s="208">
        <f>F50-травень!F50</f>
        <v>165.51999999999998</v>
      </c>
      <c r="O50" s="207">
        <f t="shared" si="11"/>
        <v>-500.48</v>
      </c>
      <c r="P50" s="205">
        <f t="shared" si="8"/>
        <v>24.85285285285285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386.52</v>
      </c>
      <c r="G51" s="36">
        <f t="shared" si="9"/>
        <v>-165.47000000000003</v>
      </c>
      <c r="H51" s="32">
        <f t="shared" si="7"/>
        <v>70.0230076631823</v>
      </c>
      <c r="I51" s="110">
        <f t="shared" si="10"/>
        <v>-713.48</v>
      </c>
      <c r="J51" s="110">
        <f t="shared" si="12"/>
        <v>35.13818181818182</v>
      </c>
      <c r="K51" s="110">
        <f>F51-582.74</f>
        <v>-196.22000000000003</v>
      </c>
      <c r="L51" s="110">
        <f>F51/582.74*100</f>
        <v>66.32803651714315</v>
      </c>
      <c r="M51" s="111">
        <f>E51-травень!E51</f>
        <v>185</v>
      </c>
      <c r="N51" s="179">
        <f>F51-травень!F51</f>
        <v>18.96999999999997</v>
      </c>
      <c r="O51" s="112">
        <f t="shared" si="11"/>
        <v>-166.03000000000003</v>
      </c>
      <c r="P51" s="132">
        <f t="shared" si="8"/>
        <v>10.254054054054038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2352.22</v>
      </c>
      <c r="G54" s="36">
        <f t="shared" si="9"/>
        <v>-309.9500000000003</v>
      </c>
      <c r="H54" s="32">
        <f t="shared" si="7"/>
        <v>88.35724239999698</v>
      </c>
      <c r="I54" s="110">
        <f t="shared" si="10"/>
        <v>-3801.78</v>
      </c>
      <c r="J54" s="110">
        <f t="shared" si="12"/>
        <v>38.22261943451413</v>
      </c>
      <c r="K54" s="110">
        <f>F54-3404.6</f>
        <v>-1052.38</v>
      </c>
      <c r="L54" s="110">
        <f>F54/3404.6*100</f>
        <v>69.08946719144686</v>
      </c>
      <c r="M54" s="111">
        <f>E54-травень!E54</f>
        <v>480</v>
      </c>
      <c r="N54" s="179">
        <f>F54-травень!F54</f>
        <v>146.54999999999973</v>
      </c>
      <c r="O54" s="112">
        <f t="shared" si="11"/>
        <v>-333.4500000000003</v>
      </c>
      <c r="P54" s="132">
        <f t="shared" si="8"/>
        <v>30.531249999999943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2452.65</v>
      </c>
      <c r="G56" s="202">
        <f t="shared" si="9"/>
        <v>184.67000000000007</v>
      </c>
      <c r="H56" s="204">
        <f t="shared" si="7"/>
        <v>108.14248802899498</v>
      </c>
      <c r="I56" s="205">
        <f t="shared" si="10"/>
        <v>-2347.35</v>
      </c>
      <c r="J56" s="205">
        <f t="shared" si="12"/>
        <v>51.096875</v>
      </c>
      <c r="K56" s="205">
        <f>F56-2236.15</f>
        <v>216.5</v>
      </c>
      <c r="L56" s="205">
        <f>F56/2236.15*100</f>
        <v>109.68181919817543</v>
      </c>
      <c r="M56" s="204">
        <f>E56-травень!E56</f>
        <v>400</v>
      </c>
      <c r="N56" s="208">
        <f>F56-травень!F56</f>
        <v>132.53999999999996</v>
      </c>
      <c r="O56" s="207">
        <f t="shared" si="11"/>
        <v>-267.46000000000004</v>
      </c>
      <c r="P56" s="205">
        <f t="shared" si="8"/>
        <v>33.13499999999999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537</v>
      </c>
      <c r="G58" s="202"/>
      <c r="H58" s="204"/>
      <c r="I58" s="205"/>
      <c r="J58" s="205"/>
      <c r="K58" s="206">
        <f>F58-577.4</f>
        <v>-40.39999999999998</v>
      </c>
      <c r="L58" s="206">
        <f>F58/577.4*100</f>
        <v>93.00311742293039</v>
      </c>
      <c r="M58" s="236"/>
      <c r="N58" s="220">
        <f>F58-травень!F58</f>
        <v>58.629999999999995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418048.23</v>
      </c>
      <c r="G63" s="191">
        <f>F63-E63</f>
        <v>-23697.77999999997</v>
      </c>
      <c r="H63" s="192">
        <f>F63/E63*100</f>
        <v>94.63542862560321</v>
      </c>
      <c r="I63" s="193">
        <f>F63-D63</f>
        <v>-465852.37</v>
      </c>
      <c r="J63" s="193">
        <f>F63/D63*100</f>
        <v>47.29584186276149</v>
      </c>
      <c r="K63" s="193">
        <f>F63-320998.67</f>
        <v>97049.56</v>
      </c>
      <c r="L63" s="193">
        <f>F63/320998.67*100</f>
        <v>130.23363305523975</v>
      </c>
      <c r="M63" s="191">
        <f>M8+M37+M61+M62</f>
        <v>71492.59999999999</v>
      </c>
      <c r="N63" s="191">
        <f>N8+N37+N61+N62</f>
        <v>20198.940000000013</v>
      </c>
      <c r="O63" s="195">
        <f>N63-M63</f>
        <v>-51293.659999999974</v>
      </c>
      <c r="P63" s="193">
        <f>N63/M63*100</f>
        <v>28.253189840626884</v>
      </c>
      <c r="Q63" s="28">
        <f>N63-34768</f>
        <v>-14569.059999999987</v>
      </c>
      <c r="R63" s="128">
        <f>N63/34768</f>
        <v>0.580963529682467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F69-(-31.04)</f>
        <v>30.77</v>
      </c>
      <c r="L69" s="207">
        <f>F69/(-31.04)*100</f>
        <v>0.8698453608247423</v>
      </c>
      <c r="M69" s="204"/>
      <c r="N69" s="223">
        <f>F69-травень!F69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F70-(-31.04)</f>
        <v>30.779999999999998</v>
      </c>
      <c r="L70" s="228">
        <f>F70/(-31.04)*100</f>
        <v>0.8376288659793815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1041.98</v>
      </c>
      <c r="G72" s="202">
        <f aca="true" t="shared" si="13" ref="G72:G82">F72-E72</f>
        <v>-371.02</v>
      </c>
      <c r="H72" s="204"/>
      <c r="I72" s="207">
        <f aca="true" t="shared" si="14" ref="I72:I82">F72-D72</f>
        <v>-3158.02</v>
      </c>
      <c r="J72" s="207">
        <f>F72/D72*100</f>
        <v>24.809047619047618</v>
      </c>
      <c r="K72" s="207">
        <f>F72-194</f>
        <v>847.98</v>
      </c>
      <c r="L72" s="207">
        <f>F72/194*100</f>
        <v>537.1030927835052</v>
      </c>
      <c r="M72" s="204">
        <f>E72-травень!E72</f>
        <v>500</v>
      </c>
      <c r="N72" s="208">
        <f>F72-травень!F72</f>
        <v>0.009999999999990905</v>
      </c>
      <c r="O72" s="207">
        <f aca="true" t="shared" si="15" ref="O72:O85">N72-M72</f>
        <v>-499.99</v>
      </c>
      <c r="P72" s="207">
        <f>N72/M72*100</f>
        <v>0.001999999999998181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9113.39</v>
      </c>
      <c r="G74" s="202">
        <f t="shared" si="13"/>
        <v>7320.539999999999</v>
      </c>
      <c r="H74" s="204">
        <f>F74/E74*100</f>
        <v>508.31859887888</v>
      </c>
      <c r="I74" s="207">
        <f t="shared" si="14"/>
        <v>3113.3899999999994</v>
      </c>
      <c r="J74" s="207">
        <f>F74/D74*100</f>
        <v>151.8898333333333</v>
      </c>
      <c r="K74" s="207">
        <f>F74-1818.42</f>
        <v>7294.969999999999</v>
      </c>
      <c r="L74" s="207">
        <f>F74/1818.42*100</f>
        <v>501.170796625642</v>
      </c>
      <c r="M74" s="204">
        <f>E74-травень!E74</f>
        <v>302</v>
      </c>
      <c r="N74" s="208">
        <f>F74-травень!F74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5</v>
      </c>
      <c r="G75" s="202">
        <f t="shared" si="13"/>
        <v>-1</v>
      </c>
      <c r="H75" s="204">
        <f>F75/E75*100</f>
        <v>83.33333333333334</v>
      </c>
      <c r="I75" s="207">
        <f t="shared" si="14"/>
        <v>-7</v>
      </c>
      <c r="J75" s="207">
        <f>F75/D75*100</f>
        <v>41.66666666666667</v>
      </c>
      <c r="K75" s="207">
        <f>F75-0</f>
        <v>5</v>
      </c>
      <c r="L75" s="207"/>
      <c r="M75" s="204">
        <f>E75-травень!E75</f>
        <v>1</v>
      </c>
      <c r="N75" s="208">
        <f>F75-травень!F75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11045.029999999999</v>
      </c>
      <c r="G76" s="226">
        <f t="shared" si="13"/>
        <v>5599.469999999999</v>
      </c>
      <c r="H76" s="227">
        <f>F76/E76*100</f>
        <v>202.82633925620138</v>
      </c>
      <c r="I76" s="228">
        <f t="shared" si="14"/>
        <v>-6625.970000000001</v>
      </c>
      <c r="J76" s="228">
        <f>F76/D76*100</f>
        <v>62.50370663799445</v>
      </c>
      <c r="K76" s="228">
        <f>F76-5269.49</f>
        <v>5775.539999999999</v>
      </c>
      <c r="L76" s="228">
        <f>F76/5269.49*100</f>
        <v>209.603396154087</v>
      </c>
      <c r="M76" s="226">
        <f>M72+M73+M74+M75</f>
        <v>1085.6000000000001</v>
      </c>
      <c r="N76" s="230">
        <f>N72+N73+N74+N75</f>
        <v>15.43999999999994</v>
      </c>
      <c r="O76" s="228">
        <f t="shared" si="15"/>
        <v>-1070.1600000000003</v>
      </c>
      <c r="P76" s="228">
        <f>N76/M76*100</f>
        <v>1.4222549742078059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3"/>
        <v>4.4</v>
      </c>
      <c r="H77" s="204"/>
      <c r="I77" s="207">
        <f t="shared" si="14"/>
        <v>3.4000000000000004</v>
      </c>
      <c r="J77" s="207"/>
      <c r="K77" s="207">
        <f>F77-0</f>
        <v>4.4</v>
      </c>
      <c r="L77" s="207"/>
      <c r="M77" s="204">
        <f>E77-травень!E77</f>
        <v>0</v>
      </c>
      <c r="N77" s="208">
        <f>F77-травень!F77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4888.53</v>
      </c>
      <c r="G79" s="202">
        <f t="shared" si="13"/>
        <v>-228.77000000000044</v>
      </c>
      <c r="H79" s="204">
        <f>F79/E79*100</f>
        <v>95.52947843589392</v>
      </c>
      <c r="I79" s="207">
        <f t="shared" si="14"/>
        <v>-4611.47</v>
      </c>
      <c r="J79" s="207">
        <f>F79/D79*100</f>
        <v>51.45821052631578</v>
      </c>
      <c r="K79" s="207">
        <f>F79-0</f>
        <v>4888.53</v>
      </c>
      <c r="L79" s="207"/>
      <c r="M79" s="204">
        <f>E79-травень!E79</f>
        <v>0.3000000000001819</v>
      </c>
      <c r="N79" s="208">
        <f>F79-травень!F79</f>
        <v>0.7599999999993088</v>
      </c>
      <c r="O79" s="207">
        <f>N79-M79</f>
        <v>0.4599999999991269</v>
      </c>
      <c r="P79" s="231">
        <f>N79/M79*100</f>
        <v>253.3333333329493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4893.62</v>
      </c>
      <c r="G81" s="224">
        <f>G77+G80+G78+G79</f>
        <v>-223.68000000000043</v>
      </c>
      <c r="H81" s="227">
        <f>F81/E81*100</f>
        <v>95.62894495143924</v>
      </c>
      <c r="I81" s="228">
        <f t="shared" si="14"/>
        <v>-4607.38</v>
      </c>
      <c r="J81" s="228">
        <f>F81/D81*100</f>
        <v>51.50636775076307</v>
      </c>
      <c r="K81" s="228">
        <f>F81-1.06</f>
        <v>4892.5599999999995</v>
      </c>
      <c r="L81" s="228">
        <f>F81/1.06*100</f>
        <v>461662.2641509433</v>
      </c>
      <c r="M81" s="226">
        <f>M77+M80+M78+M79</f>
        <v>0.3000000000001819</v>
      </c>
      <c r="N81" s="230">
        <f>N77+N80+N78+N79</f>
        <v>0.7599999999993088</v>
      </c>
      <c r="O81" s="226">
        <f>O77+O80+O78+O79</f>
        <v>0.4599999999991269</v>
      </c>
      <c r="P81" s="228">
        <f>N81/M81*100</f>
        <v>253.3333333329493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10.3</v>
      </c>
      <c r="G82" s="202">
        <f t="shared" si="13"/>
        <v>-9.399999999999999</v>
      </c>
      <c r="H82" s="204">
        <f>F82/E82*100</f>
        <v>52.28426395939086</v>
      </c>
      <c r="I82" s="207">
        <f t="shared" si="14"/>
        <v>-32.7</v>
      </c>
      <c r="J82" s="207">
        <f>F82/D82*100</f>
        <v>23.953488372093023</v>
      </c>
      <c r="K82" s="207">
        <f>F82-19.94</f>
        <v>-9.64</v>
      </c>
      <c r="L82" s="207">
        <f>F82/19.94*100</f>
        <v>51.65496489468405</v>
      </c>
      <c r="M82" s="204">
        <f>E82-травень!E82</f>
        <v>5.899999999999999</v>
      </c>
      <c r="N82" s="208">
        <f>F82-травень!F82</f>
        <v>1.1100000000000012</v>
      </c>
      <c r="O82" s="207">
        <f t="shared" si="15"/>
        <v>-4.789999999999997</v>
      </c>
      <c r="P82" s="207">
        <f>N82/M82</f>
        <v>0.18813559322033924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15948.689999999999</v>
      </c>
      <c r="G84" s="233">
        <f>F84-E84</f>
        <v>5366.129999999999</v>
      </c>
      <c r="H84" s="234">
        <f>F84/E84*100</f>
        <v>150.70729577720323</v>
      </c>
      <c r="I84" s="235">
        <f>F84-D84</f>
        <v>-11266.310000000001</v>
      </c>
      <c r="J84" s="235">
        <f>F84/D84*100</f>
        <v>58.60257211096821</v>
      </c>
      <c r="K84" s="235">
        <f>F84-5259.67</f>
        <v>10689.019999999999</v>
      </c>
      <c r="L84" s="235">
        <f>F84/5259.67*100</f>
        <v>303.22605790857597</v>
      </c>
      <c r="M84" s="232">
        <f>M70+M82+M76+M81</f>
        <v>1091.8000000000004</v>
      </c>
      <c r="N84" s="232">
        <f>N70+N82+N76+N81+N83</f>
        <v>17.30999999999925</v>
      </c>
      <c r="O84" s="235">
        <f t="shared" si="15"/>
        <v>-1074.4900000000011</v>
      </c>
      <c r="P84" s="235">
        <f>N84/M84*100</f>
        <v>1.5854552115771425</v>
      </c>
      <c r="Q84" s="28">
        <f>N84-8104.96</f>
        <v>-8087.650000000001</v>
      </c>
      <c r="R84" s="101">
        <f>N84/8104.96</f>
        <v>0.0021357292324699012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433996.92</v>
      </c>
      <c r="G85" s="233">
        <f>F85-E85</f>
        <v>-18331.649999999965</v>
      </c>
      <c r="H85" s="234">
        <f>F85/E85*100</f>
        <v>95.94727125018878</v>
      </c>
      <c r="I85" s="235">
        <f>F85-D85</f>
        <v>-477118.68</v>
      </c>
      <c r="J85" s="235">
        <f>F85/D85*100</f>
        <v>47.63357361019831</v>
      </c>
      <c r="K85" s="235">
        <f>F85-320998.67-5259.67</f>
        <v>107738.58</v>
      </c>
      <c r="L85" s="235">
        <f>F85/(265734.15+4325.48)*100</f>
        <v>160.7041082001038</v>
      </c>
      <c r="M85" s="233">
        <f>M63+M84</f>
        <v>72584.4</v>
      </c>
      <c r="N85" s="233">
        <f>N63+N84</f>
        <v>20216.25000000001</v>
      </c>
      <c r="O85" s="235">
        <f t="shared" si="15"/>
        <v>-52368.14999999998</v>
      </c>
      <c r="P85" s="235">
        <f>N85/M85*100</f>
        <v>27.852059120141536</v>
      </c>
      <c r="Q85" s="28">
        <f>N85-42872.96</f>
        <v>-22656.70999999999</v>
      </c>
      <c r="R85" s="101">
        <f>N85/42872.96</f>
        <v>0.47153847086835177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13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3945.6661538461517</v>
      </c>
      <c r="D88" s="4" t="s">
        <v>24</v>
      </c>
      <c r="G88" s="261"/>
      <c r="H88" s="261"/>
      <c r="I88" s="261"/>
      <c r="J88" s="261"/>
      <c r="K88" s="90"/>
      <c r="L88" s="90"/>
      <c r="P88" s="26"/>
      <c r="Q88" s="26"/>
    </row>
    <row r="89" spans="2:15" ht="34.5" customHeight="1">
      <c r="B89" s="58" t="s">
        <v>56</v>
      </c>
      <c r="C89" s="87">
        <v>42529</v>
      </c>
      <c r="D89" s="31">
        <v>1909.7</v>
      </c>
      <c r="G89" s="4" t="s">
        <v>59</v>
      </c>
      <c r="N89" s="254"/>
      <c r="O89" s="254"/>
    </row>
    <row r="90" spans="3:15" ht="15">
      <c r="C90" s="87">
        <v>42528</v>
      </c>
      <c r="D90" s="31">
        <v>5523.3</v>
      </c>
      <c r="F90" s="124" t="s">
        <v>59</v>
      </c>
      <c r="G90" s="248"/>
      <c r="H90" s="248"/>
      <c r="I90" s="131"/>
      <c r="J90" s="251"/>
      <c r="K90" s="251"/>
      <c r="L90" s="251"/>
      <c r="M90" s="251"/>
      <c r="N90" s="254"/>
      <c r="O90" s="254"/>
    </row>
    <row r="91" spans="3:15" ht="15.75" customHeight="1">
      <c r="C91" s="87">
        <v>42527</v>
      </c>
      <c r="D91" s="31">
        <v>3619</v>
      </c>
      <c r="F91" s="73"/>
      <c r="G91" s="248"/>
      <c r="H91" s="248"/>
      <c r="I91" s="131"/>
      <c r="J91" s="255"/>
      <c r="K91" s="255"/>
      <c r="L91" s="255"/>
      <c r="M91" s="255"/>
      <c r="N91" s="254"/>
      <c r="O91" s="254"/>
    </row>
    <row r="92" spans="3:13" ht="15.75" customHeight="1">
      <c r="C92" s="87"/>
      <c r="F92" s="73"/>
      <c r="G92" s="250"/>
      <c r="H92" s="250"/>
      <c r="I92" s="139"/>
      <c r="J92" s="251"/>
      <c r="K92" s="251"/>
      <c r="L92" s="251"/>
      <c r="M92" s="251"/>
    </row>
    <row r="93" spans="2:13" ht="18.75" customHeight="1">
      <c r="B93" s="252" t="s">
        <v>57</v>
      </c>
      <c r="C93" s="253"/>
      <c r="D93" s="148">
        <v>2678.0072</v>
      </c>
      <c r="E93" s="74"/>
      <c r="F93" s="140" t="s">
        <v>137</v>
      </c>
      <c r="G93" s="248"/>
      <c r="H93" s="248"/>
      <c r="I93" s="141"/>
      <c r="J93" s="251"/>
      <c r="K93" s="251"/>
      <c r="L93" s="251"/>
      <c r="M93" s="251"/>
    </row>
    <row r="94" spans="6:12" ht="9.75" customHeight="1">
      <c r="F94" s="73"/>
      <c r="G94" s="248"/>
      <c r="H94" s="248"/>
      <c r="I94" s="73"/>
      <c r="J94" s="74"/>
      <c r="K94" s="74"/>
      <c r="L94" s="74"/>
    </row>
    <row r="95" spans="2:12" ht="22.5" customHeight="1" hidden="1">
      <c r="B95" s="246" t="s">
        <v>60</v>
      </c>
      <c r="C95" s="247"/>
      <c r="D95" s="86">
        <v>0</v>
      </c>
      <c r="E95" s="56" t="s">
        <v>24</v>
      </c>
      <c r="F95" s="73"/>
      <c r="G95" s="248"/>
      <c r="H95" s="248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73">
        <f>F44+F47+F48</f>
        <v>162.66</v>
      </c>
      <c r="G96" s="74"/>
      <c r="H96" s="74"/>
      <c r="I96" s="74"/>
      <c r="N96" s="248"/>
      <c r="O96" s="248"/>
    </row>
    <row r="97" spans="4:15" ht="15">
      <c r="D97" s="83"/>
      <c r="I97" s="31"/>
      <c r="N97" s="249"/>
      <c r="O97" s="249"/>
    </row>
    <row r="98" spans="14:15" ht="15">
      <c r="N98" s="248"/>
      <c r="O98" s="248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162</v>
      </c>
      <c r="N3" s="279" t="s">
        <v>163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158</v>
      </c>
      <c r="F4" s="282" t="s">
        <v>34</v>
      </c>
      <c r="G4" s="256" t="s">
        <v>159</v>
      </c>
      <c r="H4" s="264" t="s">
        <v>160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169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161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1"/>
      <c r="H88" s="261"/>
      <c r="I88" s="261"/>
      <c r="J88" s="261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4"/>
      <c r="O89" s="254"/>
    </row>
    <row r="90" spans="3:15" ht="15">
      <c r="C90" s="87">
        <v>42520</v>
      </c>
      <c r="D90" s="31">
        <v>8891</v>
      </c>
      <c r="F90" s="124" t="s">
        <v>59</v>
      </c>
      <c r="G90" s="248"/>
      <c r="H90" s="248"/>
      <c r="I90" s="131"/>
      <c r="J90" s="251"/>
      <c r="K90" s="251"/>
      <c r="L90" s="251"/>
      <c r="M90" s="251"/>
      <c r="N90" s="254"/>
      <c r="O90" s="254"/>
    </row>
    <row r="91" spans="3:15" ht="15.75" customHeight="1">
      <c r="C91" s="87">
        <v>42517</v>
      </c>
      <c r="D91" s="31">
        <v>7356.3</v>
      </c>
      <c r="F91" s="73"/>
      <c r="G91" s="248"/>
      <c r="H91" s="248"/>
      <c r="I91" s="131"/>
      <c r="J91" s="255"/>
      <c r="K91" s="255"/>
      <c r="L91" s="255"/>
      <c r="M91" s="255"/>
      <c r="N91" s="254"/>
      <c r="O91" s="254"/>
    </row>
    <row r="92" spans="3:13" ht="15.75" customHeight="1">
      <c r="C92" s="87"/>
      <c r="F92" s="73"/>
      <c r="G92" s="250"/>
      <c r="H92" s="250"/>
      <c r="I92" s="139"/>
      <c r="J92" s="251"/>
      <c r="K92" s="251"/>
      <c r="L92" s="251"/>
      <c r="M92" s="251"/>
    </row>
    <row r="93" spans="2:13" ht="18.75" customHeight="1">
      <c r="B93" s="252" t="s">
        <v>57</v>
      </c>
      <c r="C93" s="253"/>
      <c r="D93" s="148">
        <v>2811.04042</v>
      </c>
      <c r="E93" s="74"/>
      <c r="F93" s="140" t="s">
        <v>137</v>
      </c>
      <c r="G93" s="248"/>
      <c r="H93" s="248"/>
      <c r="I93" s="141"/>
      <c r="J93" s="251"/>
      <c r="K93" s="251"/>
      <c r="L93" s="251"/>
      <c r="M93" s="251"/>
    </row>
    <row r="94" spans="6:12" ht="9.75" customHeight="1">
      <c r="F94" s="73"/>
      <c r="G94" s="248"/>
      <c r="H94" s="248"/>
      <c r="I94" s="73"/>
      <c r="J94" s="74"/>
      <c r="K94" s="74"/>
      <c r="L94" s="74"/>
    </row>
    <row r="95" spans="2:12" ht="22.5" customHeight="1" hidden="1">
      <c r="B95" s="246" t="s">
        <v>60</v>
      </c>
      <c r="C95" s="247"/>
      <c r="D95" s="86">
        <v>0</v>
      </c>
      <c r="E95" s="56" t="s">
        <v>24</v>
      </c>
      <c r="F95" s="73"/>
      <c r="G95" s="248"/>
      <c r="H95" s="248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568</v>
      </c>
      <c r="F96" s="73">
        <f>F44+F47+F48</f>
        <v>117.97999999999999</v>
      </c>
      <c r="G96" s="74"/>
      <c r="H96" s="74"/>
      <c r="I96" s="74"/>
      <c r="N96" s="248"/>
      <c r="O96" s="248"/>
    </row>
    <row r="97" spans="4:15" ht="15">
      <c r="D97" s="83"/>
      <c r="I97" s="31"/>
      <c r="N97" s="249"/>
      <c r="O97" s="249"/>
    </row>
    <row r="98" spans="14:15" ht="15">
      <c r="N98" s="248"/>
      <c r="O98" s="248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153</v>
      </c>
      <c r="N3" s="279" t="s">
        <v>154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150</v>
      </c>
      <c r="F4" s="282" t="s">
        <v>34</v>
      </c>
      <c r="G4" s="256" t="s">
        <v>151</v>
      </c>
      <c r="H4" s="264" t="s">
        <v>152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157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155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1"/>
      <c r="H84" s="261"/>
      <c r="I84" s="261"/>
      <c r="J84" s="261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4"/>
      <c r="O85" s="254"/>
    </row>
    <row r="86" spans="3:15" ht="15">
      <c r="C86" s="87">
        <v>42488</v>
      </c>
      <c r="D86" s="31">
        <v>11419.7</v>
      </c>
      <c r="F86" s="124" t="s">
        <v>59</v>
      </c>
      <c r="G86" s="248"/>
      <c r="H86" s="248"/>
      <c r="I86" s="131"/>
      <c r="J86" s="251"/>
      <c r="K86" s="251"/>
      <c r="L86" s="251"/>
      <c r="M86" s="251"/>
      <c r="N86" s="254"/>
      <c r="O86" s="254"/>
    </row>
    <row r="87" spans="3:15" ht="15.75" customHeight="1">
      <c r="C87" s="87">
        <v>42487</v>
      </c>
      <c r="D87" s="31">
        <v>7800.7</v>
      </c>
      <c r="F87" s="73"/>
      <c r="G87" s="248"/>
      <c r="H87" s="248"/>
      <c r="I87" s="131"/>
      <c r="J87" s="255"/>
      <c r="K87" s="255"/>
      <c r="L87" s="255"/>
      <c r="M87" s="255"/>
      <c r="N87" s="254"/>
      <c r="O87" s="254"/>
    </row>
    <row r="88" spans="3:13" ht="15.75" customHeight="1">
      <c r="C88" s="87"/>
      <c r="F88" s="73"/>
      <c r="G88" s="250"/>
      <c r="H88" s="250"/>
      <c r="I88" s="139"/>
      <c r="J88" s="251"/>
      <c r="K88" s="251"/>
      <c r="L88" s="251"/>
      <c r="M88" s="251"/>
    </row>
    <row r="89" spans="2:13" ht="18.75" customHeight="1">
      <c r="B89" s="252" t="s">
        <v>57</v>
      </c>
      <c r="C89" s="253"/>
      <c r="D89" s="148">
        <v>9087.9705</v>
      </c>
      <c r="E89" s="74"/>
      <c r="F89" s="140" t="s">
        <v>137</v>
      </c>
      <c r="G89" s="248"/>
      <c r="H89" s="248"/>
      <c r="I89" s="141"/>
      <c r="J89" s="251"/>
      <c r="K89" s="251"/>
      <c r="L89" s="251"/>
      <c r="M89" s="251"/>
    </row>
    <row r="90" spans="6:12" ht="9.75" customHeight="1">
      <c r="F90" s="73"/>
      <c r="G90" s="248"/>
      <c r="H90" s="248"/>
      <c r="I90" s="73"/>
      <c r="J90" s="74"/>
      <c r="K90" s="74"/>
      <c r="L90" s="74"/>
    </row>
    <row r="91" spans="2:12" ht="22.5" customHeight="1" hidden="1">
      <c r="B91" s="246" t="s">
        <v>60</v>
      </c>
      <c r="C91" s="247"/>
      <c r="D91" s="86">
        <v>0</v>
      </c>
      <c r="E91" s="56" t="s">
        <v>24</v>
      </c>
      <c r="F91" s="73"/>
      <c r="G91" s="248"/>
      <c r="H91" s="24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48"/>
      <c r="O92" s="248"/>
    </row>
    <row r="93" spans="4:15" ht="15">
      <c r="D93" s="83"/>
      <c r="I93" s="31"/>
      <c r="N93" s="249"/>
      <c r="O93" s="249"/>
    </row>
    <row r="94" spans="14:15" ht="15">
      <c r="N94" s="248"/>
      <c r="O94" s="24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147</v>
      </c>
      <c r="N3" s="279" t="s">
        <v>143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146</v>
      </c>
      <c r="F4" s="282" t="s">
        <v>34</v>
      </c>
      <c r="G4" s="256" t="s">
        <v>141</v>
      </c>
      <c r="H4" s="264" t="s">
        <v>142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149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144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4"/>
      <c r="O84" s="254"/>
    </row>
    <row r="85" spans="3:15" ht="15">
      <c r="C85" s="87">
        <v>42459</v>
      </c>
      <c r="D85" s="31">
        <v>7576.3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42458</v>
      </c>
      <c r="D86" s="31">
        <v>9190.1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f>4343.7</f>
        <v>4343.7</v>
      </c>
      <c r="E88" s="74"/>
      <c r="F88" s="140" t="s">
        <v>137</v>
      </c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128</v>
      </c>
      <c r="N3" s="279" t="s">
        <v>119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127</v>
      </c>
      <c r="F4" s="282" t="s">
        <v>34</v>
      </c>
      <c r="G4" s="256" t="s">
        <v>116</v>
      </c>
      <c r="H4" s="264" t="s">
        <v>117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140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92.2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118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4"/>
      <c r="O84" s="254"/>
    </row>
    <row r="85" spans="3:15" ht="15">
      <c r="C85" s="87">
        <v>42426</v>
      </c>
      <c r="D85" s="31">
        <v>6256.2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42425</v>
      </c>
      <c r="D86" s="31">
        <v>3536.9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v>505.3</v>
      </c>
      <c r="E88" s="74"/>
      <c r="F88" s="140" t="s">
        <v>137</v>
      </c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 t="s">
        <v>135</v>
      </c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132</v>
      </c>
      <c r="N3" s="279" t="s">
        <v>66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129</v>
      </c>
      <c r="F4" s="282" t="s">
        <v>34</v>
      </c>
      <c r="G4" s="256" t="s">
        <v>130</v>
      </c>
      <c r="H4" s="264" t="s">
        <v>131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86" t="s">
        <v>133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92.2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134</v>
      </c>
      <c r="L5" s="260"/>
      <c r="M5" s="265"/>
      <c r="N5" s="28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4"/>
      <c r="O84" s="254"/>
    </row>
    <row r="85" spans="3:15" ht="15">
      <c r="C85" s="87">
        <v>42397</v>
      </c>
      <c r="D85" s="31">
        <v>8685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42396</v>
      </c>
      <c r="D86" s="31">
        <v>4820.3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v>300.92</v>
      </c>
      <c r="E88" s="74"/>
      <c r="F88" s="140"/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 t="s">
        <v>136</v>
      </c>
      <c r="C3" s="273" t="s">
        <v>0</v>
      </c>
      <c r="D3" s="274" t="s">
        <v>115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107</v>
      </c>
      <c r="N3" s="279" t="s">
        <v>66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104</v>
      </c>
      <c r="F4" s="288" t="s">
        <v>34</v>
      </c>
      <c r="G4" s="256" t="s">
        <v>109</v>
      </c>
      <c r="H4" s="264" t="s">
        <v>110</v>
      </c>
      <c r="I4" s="256" t="s">
        <v>105</v>
      </c>
      <c r="J4" s="264" t="s">
        <v>106</v>
      </c>
      <c r="K4" s="91" t="s">
        <v>65</v>
      </c>
      <c r="L4" s="96" t="s">
        <v>64</v>
      </c>
      <c r="M4" s="264"/>
      <c r="N4" s="286" t="s">
        <v>103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6.5" customHeight="1">
      <c r="A5" s="271"/>
      <c r="B5" s="272"/>
      <c r="C5" s="273"/>
      <c r="D5" s="274"/>
      <c r="E5" s="281"/>
      <c r="F5" s="289"/>
      <c r="G5" s="257"/>
      <c r="H5" s="265"/>
      <c r="I5" s="257"/>
      <c r="J5" s="265"/>
      <c r="K5" s="259" t="s">
        <v>108</v>
      </c>
      <c r="L5" s="260"/>
      <c r="M5" s="265"/>
      <c r="N5" s="287"/>
      <c r="O5" s="257"/>
      <c r="P5" s="258"/>
      <c r="Q5" s="259" t="s">
        <v>126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1"/>
      <c r="H82" s="261"/>
      <c r="I82" s="261"/>
      <c r="J82" s="261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4"/>
      <c r="O83" s="254"/>
    </row>
    <row r="84" spans="3:15" ht="15">
      <c r="C84" s="87">
        <v>42397</v>
      </c>
      <c r="D84" s="31">
        <v>8685</v>
      </c>
      <c r="F84" s="166" t="s">
        <v>59</v>
      </c>
      <c r="G84" s="248"/>
      <c r="H84" s="248"/>
      <c r="I84" s="131"/>
      <c r="J84" s="251"/>
      <c r="K84" s="251"/>
      <c r="L84" s="251"/>
      <c r="M84" s="251"/>
      <c r="N84" s="254"/>
      <c r="O84" s="254"/>
    </row>
    <row r="85" spans="3:15" ht="15.75" customHeight="1">
      <c r="C85" s="87">
        <v>42396</v>
      </c>
      <c r="D85" s="31">
        <v>4820.3</v>
      </c>
      <c r="F85" s="167"/>
      <c r="G85" s="248"/>
      <c r="H85" s="248"/>
      <c r="I85" s="131"/>
      <c r="J85" s="255"/>
      <c r="K85" s="255"/>
      <c r="L85" s="255"/>
      <c r="M85" s="255"/>
      <c r="N85" s="254"/>
      <c r="O85" s="254"/>
    </row>
    <row r="86" spans="3:13" ht="15.75" customHeight="1">
      <c r="C86" s="87"/>
      <c r="F86" s="167"/>
      <c r="G86" s="250"/>
      <c r="H86" s="250"/>
      <c r="I86" s="139"/>
      <c r="J86" s="251"/>
      <c r="K86" s="251"/>
      <c r="L86" s="251"/>
      <c r="M86" s="251"/>
    </row>
    <row r="87" spans="2:13" ht="18.75" customHeight="1">
      <c r="B87" s="252" t="s">
        <v>57</v>
      </c>
      <c r="C87" s="253"/>
      <c r="D87" s="148">
        <v>300.92</v>
      </c>
      <c r="E87" s="74"/>
      <c r="F87" s="168"/>
      <c r="G87" s="248"/>
      <c r="H87" s="248"/>
      <c r="I87" s="141"/>
      <c r="J87" s="251"/>
      <c r="K87" s="251"/>
      <c r="L87" s="251"/>
      <c r="M87" s="251"/>
    </row>
    <row r="88" spans="6:12" ht="9.75" customHeight="1">
      <c r="F88" s="167"/>
      <c r="G88" s="248"/>
      <c r="H88" s="248"/>
      <c r="I88" s="73"/>
      <c r="J88" s="74"/>
      <c r="K88" s="74"/>
      <c r="L88" s="74"/>
    </row>
    <row r="89" spans="2:12" ht="22.5" customHeight="1" hidden="1">
      <c r="B89" s="246" t="s">
        <v>60</v>
      </c>
      <c r="C89" s="247"/>
      <c r="D89" s="86">
        <v>0</v>
      </c>
      <c r="E89" s="56" t="s">
        <v>24</v>
      </c>
      <c r="F89" s="167"/>
      <c r="G89" s="248"/>
      <c r="H89" s="24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48"/>
      <c r="O90" s="248"/>
    </row>
    <row r="91" spans="4:15" ht="15">
      <c r="D91" s="83"/>
      <c r="I91" s="31"/>
      <c r="N91" s="249"/>
      <c r="O91" s="249"/>
    </row>
    <row r="92" spans="14:15" ht="15">
      <c r="N92" s="248"/>
      <c r="O92" s="24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2016-06-09T08:15:00Z</cp:lastPrinted>
  <dcterms:created xsi:type="dcterms:W3CDTF">2003-07-28T11:27:56Z</dcterms:created>
  <dcterms:modified xsi:type="dcterms:W3CDTF">2016-06-09T08:40:53Z</dcterms:modified>
  <cp:category/>
  <cp:version/>
  <cp:contentType/>
  <cp:contentStatus/>
</cp:coreProperties>
</file>